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agherc\OneDrive - San Mateo County Community College District\Documents\SWP\SWP Tri-Chair\2023.12.12\"/>
    </mc:Choice>
  </mc:AlternateContent>
  <xr:revisionPtr revIDLastSave="0" documentId="13_ncr:1_{49048A7A-2465-41D4-B645-6E6A8C546D49}" xr6:coauthVersionLast="47" xr6:coauthVersionMax="47" xr10:uidLastSave="{00000000-0000-0000-0000-000000000000}"/>
  <bookViews>
    <workbookView xWindow="-120" yWindow="-120" windowWidth="29040" windowHeight="17520" xr2:uid="{E5011E87-B130-442D-B158-35D6BC2A1017}"/>
  </bookViews>
  <sheets>
    <sheet name="Y7 Local" sheetId="1" r:id="rId1"/>
    <sheet name="Y7 Regional" sheetId="2" r:id="rId2"/>
  </sheets>
  <definedNames>
    <definedName name="_xlnm.Print_Area" localSheetId="0">'Y7 Local'!$A$1:$N$41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2" l="1"/>
  <c r="L7" i="2"/>
  <c r="L21" i="2" s="1"/>
  <c r="L8" i="2"/>
  <c r="L9" i="2"/>
  <c r="L10" i="2"/>
  <c r="L11" i="2"/>
  <c r="L12" i="2"/>
  <c r="L13" i="2"/>
  <c r="L14" i="2"/>
  <c r="L16" i="2"/>
  <c r="L17" i="2"/>
  <c r="J21" i="2"/>
  <c r="K21" i="2"/>
  <c r="K17" i="2"/>
  <c r="M17" i="2" s="1"/>
  <c r="K16" i="2"/>
  <c r="K14" i="2"/>
  <c r="K13" i="2"/>
  <c r="K12" i="2"/>
  <c r="K11" i="2"/>
  <c r="K10" i="2"/>
  <c r="M10" i="2" s="1"/>
  <c r="K9" i="2"/>
  <c r="M9" i="2" s="1"/>
  <c r="K8" i="2"/>
  <c r="K7" i="2"/>
  <c r="M18" i="2"/>
  <c r="M15" i="2"/>
  <c r="M7" i="2"/>
  <c r="M19" i="2"/>
  <c r="J14" i="2"/>
  <c r="I14" i="2"/>
  <c r="J13" i="2"/>
  <c r="I13" i="2"/>
  <c r="J12" i="2"/>
  <c r="I12" i="2"/>
  <c r="I11" i="2"/>
  <c r="J10" i="2"/>
  <c r="I10" i="2"/>
  <c r="J9" i="2"/>
  <c r="I9" i="2"/>
  <c r="J8" i="2"/>
  <c r="I8" i="2"/>
  <c r="J7" i="2"/>
  <c r="I7" i="2"/>
  <c r="M16" i="2" l="1"/>
  <c r="M12" i="2"/>
  <c r="M8" i="2"/>
  <c r="M13" i="2"/>
  <c r="M11" i="2"/>
  <c r="M14" i="2"/>
  <c r="J10" i="1" l="1"/>
  <c r="J9" i="1"/>
  <c r="K9" i="1" s="1"/>
  <c r="I10" i="1"/>
  <c r="I9" i="1"/>
  <c r="J17" i="2"/>
  <c r="I17" i="2"/>
  <c r="M20" i="2"/>
  <c r="J24" i="1"/>
  <c r="K24" i="1" s="1"/>
  <c r="J23" i="1"/>
  <c r="K23" i="1" s="1"/>
  <c r="J25" i="1"/>
  <c r="K25" i="1" s="1"/>
  <c r="J26" i="1"/>
  <c r="K26" i="1" s="1"/>
  <c r="K10" i="1" l="1"/>
  <c r="K12" i="1" l="1"/>
  <c r="K13" i="1"/>
  <c r="K14" i="1"/>
  <c r="K11" i="1"/>
  <c r="K8" i="1"/>
  <c r="J22" i="1"/>
  <c r="K22" i="1" s="1"/>
  <c r="J21" i="1"/>
  <c r="J16" i="1"/>
  <c r="J36" i="1"/>
  <c r="K36" i="1" s="1"/>
  <c r="K35" i="1"/>
  <c r="I16" i="1"/>
  <c r="K39" i="1"/>
  <c r="K34" i="1"/>
  <c r="K7" i="1"/>
  <c r="K15" i="1"/>
  <c r="K28" i="1"/>
  <c r="K19" i="1"/>
  <c r="K20" i="1"/>
  <c r="K27" i="1"/>
  <c r="K32" i="1"/>
  <c r="K18" i="1"/>
  <c r="K17" i="1"/>
  <c r="K33" i="1"/>
  <c r="K29" i="1"/>
  <c r="K16" i="1" l="1"/>
  <c r="I40" i="1"/>
  <c r="I41" i="1" s="1"/>
  <c r="K31" i="1"/>
  <c r="K21" i="1"/>
  <c r="I21" i="2" l="1"/>
  <c r="K30" i="1"/>
  <c r="J37" i="1" s="1"/>
  <c r="M21" i="2"/>
  <c r="K37" i="1" l="1"/>
  <c r="J40" i="1"/>
  <c r="K40" i="1" s="1"/>
  <c r="J41" i="1" l="1"/>
  <c r="K41" i="1" s="1"/>
</calcChain>
</file>

<file path=xl/sharedStrings.xml><?xml version="1.0" encoding="utf-8"?>
<sst xmlns="http://schemas.openxmlformats.org/spreadsheetml/2006/main" count="285" uniqueCount="140">
  <si>
    <t>Department</t>
  </si>
  <si>
    <t>Description</t>
  </si>
  <si>
    <t>Timeline</t>
  </si>
  <si>
    <t>Other funding</t>
  </si>
  <si>
    <t>Object</t>
  </si>
  <si>
    <t>Funeral Service</t>
  </si>
  <si>
    <t>Next Steps</t>
  </si>
  <si>
    <t>Complete EPAF (Hugo); Hyla approves</t>
  </si>
  <si>
    <t>Approval Status</t>
  </si>
  <si>
    <t>Approved</t>
  </si>
  <si>
    <t>EHD</t>
  </si>
  <si>
    <t>EHD Workroom</t>
  </si>
  <si>
    <t>6450NC</t>
  </si>
  <si>
    <t>Ends  6.30.25</t>
  </si>
  <si>
    <t>Baby CPR Manikins</t>
  </si>
  <si>
    <t>https://store.osmanager4.com/emss/products/20951</t>
  </si>
  <si>
    <t>Details</t>
  </si>
  <si>
    <t>MEDA</t>
  </si>
  <si>
    <t>Program Coordinator - Salary</t>
  </si>
  <si>
    <t>Program Coordinator Benefits</t>
  </si>
  <si>
    <t>Noninstructional Reassign Time - Salary</t>
  </si>
  <si>
    <t>Noninstructional Reassign Time - Benefits</t>
  </si>
  <si>
    <t>Summer 23</t>
  </si>
  <si>
    <t>Upon appproval, goes to VP weekly; then CIP</t>
  </si>
  <si>
    <t>Includes construction, furniture and fixtures per Karen Pinkham</t>
  </si>
  <si>
    <t>6xxx</t>
  </si>
  <si>
    <t>Upon approval, VP weekly, CIP for final estimates</t>
  </si>
  <si>
    <t>Makerspace</t>
  </si>
  <si>
    <t>Relocation from bungalows to Bldg 18</t>
  </si>
  <si>
    <t>House equipment for multiple programs</t>
  </si>
  <si>
    <t>ID, DA, PALT, FASH</t>
  </si>
  <si>
    <t>Upon approval; VP weekly; ITS, CIP for final estimates</t>
  </si>
  <si>
    <t>Digital Media</t>
  </si>
  <si>
    <t>5621N</t>
  </si>
  <si>
    <t>Toonboom Software</t>
  </si>
  <si>
    <t>Supplies</t>
  </si>
  <si>
    <t>4xxx</t>
  </si>
  <si>
    <t>Not lottery</t>
  </si>
  <si>
    <t>Interior Design</t>
  </si>
  <si>
    <t>Software - Chief Architect; Sketchup Pro</t>
  </si>
  <si>
    <t>Feb renewal - confirm title</t>
  </si>
  <si>
    <t>July renewal - confirm title</t>
  </si>
  <si>
    <t>Fashion</t>
  </si>
  <si>
    <t>PAD Software</t>
  </si>
  <si>
    <t>Indirect</t>
  </si>
  <si>
    <t>Student Assistants - Salary</t>
  </si>
  <si>
    <t>Student Assistants - Benefits</t>
  </si>
  <si>
    <t>Fund</t>
  </si>
  <si>
    <t>Org</t>
  </si>
  <si>
    <t>Account</t>
  </si>
  <si>
    <t>Program</t>
  </si>
  <si>
    <t>Menlo Studio</t>
  </si>
  <si>
    <t>Perkins 23-24, Matching funds for Menlo Park</t>
  </si>
  <si>
    <t>Fall 24 $</t>
  </si>
  <si>
    <t>Spring 24 $</t>
  </si>
  <si>
    <t>Approvals December 12, 2023</t>
  </si>
  <si>
    <t>SWP Tri-Chair</t>
  </si>
  <si>
    <t>Printed materials for programs</t>
  </si>
  <si>
    <t>All</t>
  </si>
  <si>
    <t>Professional Expert - Community Outreach and Workshops</t>
  </si>
  <si>
    <t>Menlo Park</t>
  </si>
  <si>
    <t>Matching for Menlo Park</t>
  </si>
  <si>
    <t xml:space="preserve">All </t>
  </si>
  <si>
    <t>Linked In Contract</t>
  </si>
  <si>
    <t>050100</t>
  </si>
  <si>
    <t>Business</t>
  </si>
  <si>
    <t>Grammarly</t>
  </si>
  <si>
    <t>SyncSketch</t>
  </si>
  <si>
    <t>Business Hub - Reoutfitting</t>
  </si>
  <si>
    <t>One-time</t>
  </si>
  <si>
    <t>Ongoing</t>
  </si>
  <si>
    <t>Fall 24</t>
  </si>
  <si>
    <t>Y7 Local Fund 31300</t>
  </si>
  <si>
    <t>Total Y7 Local 31300</t>
  </si>
  <si>
    <t>1. MEDA Adult School Pathways for CAEP: 0.2; 4 semesters</t>
  </si>
  <si>
    <t>2. Supplemental Business Coordination: 0.2; 3 semesters</t>
  </si>
  <si>
    <t>3. Menlo Studio Faculty Advisor/Mentor: 0.3; 4 semesters</t>
  </si>
  <si>
    <t>4. Menlo Studio Faculty Advisor/Mentor (Additional): 0.2; 4 semesters</t>
  </si>
  <si>
    <t>5. Medical Assisting Clinical Support: 0.2; 4 semesters</t>
  </si>
  <si>
    <t>6. Apprenticeship/WBL Coordinator: 0.2; 6 semesters</t>
  </si>
  <si>
    <t>7. Interior Design Assistant: 0.2; 4 semesters</t>
  </si>
  <si>
    <t>Y7 Regional Fund 31313</t>
  </si>
  <si>
    <t>MEDA Adult School Pathways for CAEP: 0.2; 4 semesters</t>
  </si>
  <si>
    <t>8. Human Services Coordinator: 0.2; 4 semesters</t>
  </si>
  <si>
    <t>Okay, hours not 0.2</t>
  </si>
  <si>
    <t>Other funding - Apprenticeships</t>
  </si>
  <si>
    <t>Other funding - CAEP</t>
  </si>
  <si>
    <t>Hours not 0.2</t>
  </si>
  <si>
    <t>3 semesters</t>
  </si>
  <si>
    <t>Supplemental Coordination - Salary</t>
  </si>
  <si>
    <t>Supplemental Coordination - Benefits</t>
  </si>
  <si>
    <t>Human Services</t>
  </si>
  <si>
    <t>Program Coordination - Salary</t>
  </si>
  <si>
    <t>Program Coordination - Benefits</t>
  </si>
  <si>
    <t>Accounting</t>
  </si>
  <si>
    <t>Accounting Support</t>
  </si>
  <si>
    <t>BDW</t>
  </si>
  <si>
    <t>Program Services Coordinator</t>
  </si>
  <si>
    <t>Ongoing @ 50%</t>
  </si>
  <si>
    <t>Workforce Director</t>
  </si>
  <si>
    <t>Ongoing @ 60%</t>
  </si>
  <si>
    <t>General fund</t>
  </si>
  <si>
    <t>Culinary</t>
  </si>
  <si>
    <t>Partnership with CCSF, K-12 - Salary</t>
  </si>
  <si>
    <t>Partnership with CCSF, K-12 - Benefits</t>
  </si>
  <si>
    <t>Through launch Fall 24</t>
  </si>
  <si>
    <t xml:space="preserve">BDW </t>
  </si>
  <si>
    <t>Attendance at CCCAOE</t>
  </si>
  <si>
    <t>4 attendees per semester</t>
  </si>
  <si>
    <t>Ongoing @ 25%</t>
  </si>
  <si>
    <t>Regional</t>
  </si>
  <si>
    <t>Other/unallocated</t>
  </si>
  <si>
    <t>Other/Unallocated</t>
  </si>
  <si>
    <t>Fall 23 $</t>
  </si>
  <si>
    <t>Mary is working with Jennifer to complete</t>
  </si>
  <si>
    <t>Carole working with Megan</t>
  </si>
  <si>
    <t>Other, related funding</t>
  </si>
  <si>
    <t>Pending official quote</t>
  </si>
  <si>
    <t>Spring 25 $</t>
  </si>
  <si>
    <t>Already approved - IPC</t>
  </si>
  <si>
    <t>Candice working with ITS</t>
  </si>
  <si>
    <t>Hyla to work with Candice, etc.</t>
  </si>
  <si>
    <t>Pending official project specs</t>
  </si>
  <si>
    <t>Renewal of previously approved</t>
  </si>
  <si>
    <t>Complete EPAF (Mary H) Hyla approves</t>
  </si>
  <si>
    <t>Carole working with Judy Jackson; Carole to take to ITS</t>
  </si>
  <si>
    <t>Mary and Jonna to make purchase order.</t>
  </si>
  <si>
    <t>Approval Status (to Hugo to move budget)</t>
  </si>
  <si>
    <t>up to 7.5 hours/week</t>
  </si>
  <si>
    <t>Formerly paid by Perkins</t>
  </si>
  <si>
    <t>Begins Fall 24 for 4 semesters</t>
  </si>
  <si>
    <t>Begin rolloff to Y8</t>
  </si>
  <si>
    <t>Already committed</t>
  </si>
  <si>
    <t>Need to renew approval for 24-25</t>
  </si>
  <si>
    <t>Monitoring</t>
  </si>
  <si>
    <t>Year 7 Allocation:</t>
  </si>
  <si>
    <t>Year 8 Allocation:</t>
  </si>
  <si>
    <t>Total Regional Funding</t>
  </si>
  <si>
    <t>Spending thru</t>
  </si>
  <si>
    <t>FY 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</si>
</sst>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Inherit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4" fontId="0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vertical="top" wrapText="1"/>
    </xf>
    <xf numFmtId="0" fontId="0" fillId="2" borderId="0" xfId="0" applyFont="1" applyFill="1" applyAlignment="1">
      <alignment vertical="top" wrapText="1"/>
    </xf>
    <xf numFmtId="0" fontId="0" fillId="0" borderId="2" xfId="0" applyFont="1" applyBorder="1" applyAlignment="1">
      <alignment vertical="top"/>
    </xf>
    <xf numFmtId="0" fontId="0" fillId="0" borderId="2" xfId="0" applyFont="1" applyBorder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0" fillId="2" borderId="2" xfId="0" applyFont="1" applyFill="1" applyBorder="1" applyAlignment="1">
      <alignment vertical="top" wrapText="1"/>
    </xf>
    <xf numFmtId="164" fontId="2" fillId="0" borderId="0" xfId="1" applyNumberFormat="1" applyFont="1" applyAlignment="1">
      <alignment vertical="top" wrapText="1"/>
    </xf>
    <xf numFmtId="164" fontId="2" fillId="0" borderId="1" xfId="1" applyNumberFormat="1" applyFont="1" applyBorder="1" applyAlignment="1">
      <alignment vertical="top" wrapText="1"/>
    </xf>
    <xf numFmtId="164" fontId="0" fillId="0" borderId="0" xfId="1" applyNumberFormat="1" applyFont="1" applyAlignment="1">
      <alignment vertical="top" wrapText="1"/>
    </xf>
    <xf numFmtId="164" fontId="0" fillId="0" borderId="1" xfId="1" applyNumberFormat="1" applyFont="1" applyBorder="1" applyAlignment="1">
      <alignment vertical="top" wrapText="1"/>
    </xf>
    <xf numFmtId="164" fontId="0" fillId="0" borderId="0" xfId="1" applyNumberFormat="1" applyFont="1" applyFill="1" applyAlignment="1">
      <alignment vertical="top" wrapText="1"/>
    </xf>
    <xf numFmtId="164" fontId="0" fillId="0" borderId="1" xfId="1" applyNumberFormat="1" applyFont="1" applyFill="1" applyBorder="1" applyAlignment="1">
      <alignment vertical="top" wrapText="1"/>
    </xf>
    <xf numFmtId="164" fontId="0" fillId="0" borderId="2" xfId="1" applyNumberFormat="1" applyFont="1" applyBorder="1" applyAlignment="1">
      <alignment vertical="top" wrapText="1"/>
    </xf>
    <xf numFmtId="164" fontId="0" fillId="0" borderId="3" xfId="1" applyNumberFormat="1" applyFont="1" applyBorder="1" applyAlignment="1">
      <alignment vertical="top" wrapText="1"/>
    </xf>
    <xf numFmtId="0" fontId="0" fillId="0" borderId="0" xfId="0" applyFont="1" applyAlignment="1">
      <alignment horizontal="right" vertical="top" wrapText="1"/>
    </xf>
    <xf numFmtId="165" fontId="0" fillId="0" borderId="2" xfId="2" applyNumberFormat="1" applyFont="1" applyBorder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0" fillId="0" borderId="2" xfId="0" applyFont="1" applyBorder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vertical="center" wrapText="1"/>
    </xf>
    <xf numFmtId="0" fontId="0" fillId="0" borderId="0" xfId="0" applyFont="1" applyFill="1" applyAlignment="1">
      <alignment horizontal="right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164" fontId="2" fillId="0" borderId="0" xfId="1" applyNumberFormat="1" applyFont="1" applyAlignment="1">
      <alignment vertical="top"/>
    </xf>
    <xf numFmtId="0" fontId="2" fillId="2" borderId="0" xfId="0" applyFont="1" applyFill="1" applyAlignment="1">
      <alignment vertical="top"/>
    </xf>
    <xf numFmtId="0" fontId="0" fillId="0" borderId="0" xfId="2" applyNumberFormat="1" applyFont="1" applyFill="1"/>
    <xf numFmtId="0" fontId="0" fillId="0" borderId="0" xfId="0" applyAlignment="1">
      <alignment vertical="top"/>
    </xf>
    <xf numFmtId="0" fontId="0" fillId="0" borderId="0" xfId="2" applyNumberFormat="1" applyFont="1" applyFill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164" fontId="6" fillId="0" borderId="0" xfId="1" applyNumberFormat="1" applyFont="1" applyAlignment="1">
      <alignment vertical="top"/>
    </xf>
    <xf numFmtId="164" fontId="6" fillId="0" borderId="1" xfId="1" applyNumberFormat="1" applyFont="1" applyBorder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6" fillId="0" borderId="0" xfId="0" applyFont="1" applyAlignment="1">
      <alignment vertical="top" wrapText="1"/>
    </xf>
    <xf numFmtId="0" fontId="0" fillId="3" borderId="0" xfId="0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0" fillId="0" borderId="2" xfId="0" applyFont="1" applyFill="1" applyBorder="1" applyAlignment="1">
      <alignment vertical="top" wrapText="1"/>
    </xf>
    <xf numFmtId="164" fontId="2" fillId="4" borderId="0" xfId="1" applyNumberFormat="1" applyFont="1" applyFill="1" applyAlignment="1">
      <alignment vertical="top"/>
    </xf>
    <xf numFmtId="164" fontId="0" fillId="4" borderId="0" xfId="1" applyNumberFormat="1" applyFont="1" applyFill="1" applyAlignment="1">
      <alignment vertical="top" wrapText="1"/>
    </xf>
    <xf numFmtId="164" fontId="0" fillId="4" borderId="2" xfId="1" applyNumberFormat="1" applyFont="1" applyFill="1" applyBorder="1" applyAlignment="1">
      <alignment vertical="top" wrapText="1"/>
    </xf>
    <xf numFmtId="164" fontId="0" fillId="0" borderId="0" xfId="0" applyNumberFormat="1" applyAlignment="1">
      <alignment vertical="top"/>
    </xf>
    <xf numFmtId="164" fontId="2" fillId="4" borderId="0" xfId="1" applyNumberFormat="1" applyFont="1" applyFill="1" applyAlignment="1">
      <alignment horizontal="center" vertical="top" wrapText="1"/>
    </xf>
    <xf numFmtId="164" fontId="2" fillId="4" borderId="4" xfId="1" applyNumberFormat="1" applyFont="1" applyFill="1" applyBorder="1" applyAlignment="1">
      <alignment horizontal="center" vertical="top" wrapText="1"/>
    </xf>
    <xf numFmtId="0" fontId="0" fillId="0" borderId="0" xfId="0" applyAlignment="1">
      <alignment horizontal="right" vertical="top"/>
    </xf>
    <xf numFmtId="165" fontId="2" fillId="0" borderId="5" xfId="2" applyNumberFormat="1" applyFont="1" applyBorder="1" applyAlignment="1">
      <alignment vertical="top"/>
    </xf>
    <xf numFmtId="165" fontId="2" fillId="0" borderId="0" xfId="2" applyNumberFormat="1" applyFont="1" applyBorder="1" applyAlignment="1">
      <alignment vertical="top"/>
    </xf>
    <xf numFmtId="164" fontId="2" fillId="0" borderId="1" xfId="1" applyNumberFormat="1" applyFont="1" applyBorder="1" applyAlignment="1">
      <alignment horizontal="center" vertical="top" wrapText="1"/>
    </xf>
    <xf numFmtId="164" fontId="2" fillId="0" borderId="1" xfId="1" applyNumberFormat="1" applyFont="1" applyBorder="1" applyAlignment="1">
      <alignment horizontal="center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4B0FF-0A16-493C-B6F9-6EFCA387F77B}">
  <sheetPr>
    <pageSetUpPr fitToPage="1"/>
  </sheetPr>
  <dimension ref="A1:O114"/>
  <sheetViews>
    <sheetView tabSelected="1" workbookViewId="0">
      <selection activeCell="C17" sqref="C17"/>
    </sheetView>
  </sheetViews>
  <sheetFormatPr defaultRowHeight="15"/>
  <cols>
    <col min="1" max="1" width="14.7109375" style="3" bestFit="1" customWidth="1"/>
    <col min="2" max="2" width="38.85546875" style="3" bestFit="1" customWidth="1"/>
    <col min="3" max="3" width="21.28515625" style="3" customWidth="1"/>
    <col min="4" max="6" width="12" style="3" customWidth="1"/>
    <col min="7" max="7" width="12" style="23" customWidth="1"/>
    <col min="8" max="8" width="12" style="3" customWidth="1"/>
    <col min="9" max="10" width="12" style="17" customWidth="1"/>
    <col min="11" max="11" width="11.5703125" style="18" customWidth="1"/>
    <col min="12" max="12" width="17.7109375" style="3" bestFit="1" customWidth="1"/>
    <col min="13" max="13" width="19.5703125" style="3" customWidth="1"/>
    <col min="14" max="14" width="35.5703125" style="3" customWidth="1"/>
    <col min="15" max="15" width="48.5703125" style="7" customWidth="1"/>
    <col min="16" max="16384" width="9.140625" style="2"/>
  </cols>
  <sheetData>
    <row r="1" spans="1:15" ht="18.75" customHeight="1">
      <c r="A1" s="27" t="s">
        <v>56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ht="18.75" customHeight="1">
      <c r="A2" s="27" t="s">
        <v>55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ht="18.75">
      <c r="A3" s="27" t="s">
        <v>72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6" spans="1:15" s="1" customFormat="1" ht="30">
      <c r="A6" s="1" t="s">
        <v>0</v>
      </c>
      <c r="B6" s="1" t="s">
        <v>1</v>
      </c>
      <c r="C6" s="1" t="s">
        <v>127</v>
      </c>
      <c r="D6" s="1" t="s">
        <v>4</v>
      </c>
      <c r="E6" s="1" t="s">
        <v>47</v>
      </c>
      <c r="F6" s="1" t="s">
        <v>48</v>
      </c>
      <c r="G6" s="25" t="s">
        <v>49</v>
      </c>
      <c r="H6" s="1" t="s">
        <v>50</v>
      </c>
      <c r="I6" s="15" t="s">
        <v>54</v>
      </c>
      <c r="J6" s="15" t="s">
        <v>53</v>
      </c>
      <c r="K6" s="16" t="s">
        <v>73</v>
      </c>
      <c r="L6" s="1" t="s">
        <v>2</v>
      </c>
      <c r="M6" s="1" t="s">
        <v>116</v>
      </c>
      <c r="N6" s="1" t="s">
        <v>6</v>
      </c>
      <c r="O6" s="44" t="s">
        <v>16</v>
      </c>
    </row>
    <row r="7" spans="1:15" ht="30">
      <c r="A7" s="3" t="s">
        <v>58</v>
      </c>
      <c r="B7" s="3" t="s">
        <v>57</v>
      </c>
      <c r="D7" s="3">
        <v>5000</v>
      </c>
      <c r="E7" s="3">
        <v>31300</v>
      </c>
      <c r="F7" s="3">
        <v>3412</v>
      </c>
      <c r="G7" s="23">
        <v>5694</v>
      </c>
      <c r="H7" s="3">
        <v>675000</v>
      </c>
      <c r="I7" s="17">
        <v>15000</v>
      </c>
      <c r="J7" s="17">
        <v>0</v>
      </c>
      <c r="K7" s="18">
        <f t="shared" ref="K7:K36" si="0">SUM(I7:J7)</f>
        <v>15000</v>
      </c>
      <c r="L7" s="3" t="s">
        <v>69</v>
      </c>
      <c r="N7" s="3" t="s">
        <v>114</v>
      </c>
    </row>
    <row r="8" spans="1:15">
      <c r="A8" s="7" t="s">
        <v>62</v>
      </c>
      <c r="B8" s="7" t="s">
        <v>63</v>
      </c>
      <c r="C8" s="8" t="s">
        <v>117</v>
      </c>
      <c r="D8" s="7">
        <v>5000</v>
      </c>
      <c r="E8" s="3">
        <v>31300</v>
      </c>
      <c r="F8" s="3">
        <v>3411</v>
      </c>
      <c r="G8" s="23">
        <v>5621</v>
      </c>
      <c r="H8" s="3">
        <v>675000</v>
      </c>
      <c r="I8" s="19">
        <v>35000</v>
      </c>
      <c r="J8" s="19">
        <v>0</v>
      </c>
      <c r="K8" s="18">
        <f t="shared" si="0"/>
        <v>35000</v>
      </c>
      <c r="L8" s="3" t="s">
        <v>69</v>
      </c>
      <c r="M8" s="7"/>
      <c r="N8" s="7" t="s">
        <v>115</v>
      </c>
    </row>
    <row r="9" spans="1:15" ht="30">
      <c r="A9" s="7" t="s">
        <v>65</v>
      </c>
      <c r="B9" s="7" t="s">
        <v>89</v>
      </c>
      <c r="C9" s="7"/>
      <c r="D9" s="7">
        <v>1000</v>
      </c>
      <c r="E9" s="3">
        <v>31300</v>
      </c>
      <c r="F9" s="3">
        <v>3411</v>
      </c>
      <c r="G9" s="23">
        <v>1495</v>
      </c>
      <c r="H9" s="23" t="s">
        <v>64</v>
      </c>
      <c r="I9" s="19">
        <f>60*7.5*17</f>
        <v>7650</v>
      </c>
      <c r="J9" s="19">
        <f>60*7.5*17</f>
        <v>7650</v>
      </c>
      <c r="K9" s="18">
        <f t="shared" si="0"/>
        <v>15300</v>
      </c>
      <c r="L9" s="3" t="s">
        <v>88</v>
      </c>
      <c r="M9" s="3" t="s">
        <v>128</v>
      </c>
      <c r="N9" s="7"/>
      <c r="O9" s="7" t="s">
        <v>119</v>
      </c>
    </row>
    <row r="10" spans="1:15">
      <c r="A10" s="7" t="s">
        <v>65</v>
      </c>
      <c r="B10" s="7" t="s">
        <v>90</v>
      </c>
      <c r="C10" s="7"/>
      <c r="D10" s="7">
        <v>3000</v>
      </c>
      <c r="E10" s="3">
        <v>31300</v>
      </c>
      <c r="F10" s="3">
        <v>3411</v>
      </c>
      <c r="G10" s="23">
        <v>3801</v>
      </c>
      <c r="H10" s="23" t="s">
        <v>64</v>
      </c>
      <c r="I10" s="19">
        <f>60*7.5*17*0.20167</f>
        <v>1542.7755</v>
      </c>
      <c r="J10" s="19">
        <f>60*7.5*17*0.20167</f>
        <v>1542.7755</v>
      </c>
      <c r="K10" s="18">
        <f t="shared" si="0"/>
        <v>3085.5509999999999</v>
      </c>
      <c r="M10" s="7"/>
      <c r="N10" s="7"/>
      <c r="O10" s="7" t="s">
        <v>119</v>
      </c>
    </row>
    <row r="11" spans="1:15">
      <c r="A11" s="7" t="s">
        <v>65</v>
      </c>
      <c r="B11" s="7" t="s">
        <v>66</v>
      </c>
      <c r="C11" s="8" t="s">
        <v>117</v>
      </c>
      <c r="D11" s="7">
        <v>5000</v>
      </c>
      <c r="E11" s="3">
        <v>31300</v>
      </c>
      <c r="F11" s="3">
        <v>3411</v>
      </c>
      <c r="G11" s="23">
        <v>5695</v>
      </c>
      <c r="H11" s="23" t="s">
        <v>64</v>
      </c>
      <c r="I11" s="19">
        <v>12000</v>
      </c>
      <c r="J11" s="19">
        <v>0</v>
      </c>
      <c r="K11" s="20">
        <f t="shared" si="0"/>
        <v>12000</v>
      </c>
      <c r="L11" s="3" t="s">
        <v>69</v>
      </c>
      <c r="M11" s="7"/>
      <c r="N11" s="7" t="s">
        <v>120</v>
      </c>
    </row>
    <row r="12" spans="1:15" ht="30">
      <c r="A12" s="7" t="s">
        <v>65</v>
      </c>
      <c r="B12" s="7" t="s">
        <v>68</v>
      </c>
      <c r="C12" s="8" t="s">
        <v>122</v>
      </c>
      <c r="D12" s="7">
        <v>6000</v>
      </c>
      <c r="E12" s="3">
        <v>31300</v>
      </c>
      <c r="F12" s="3">
        <v>3411</v>
      </c>
      <c r="G12" s="23" t="s">
        <v>25</v>
      </c>
      <c r="H12" s="23" t="s">
        <v>64</v>
      </c>
      <c r="I12" s="19">
        <v>10000</v>
      </c>
      <c r="J12" s="19">
        <v>0</v>
      </c>
      <c r="K12" s="20">
        <f t="shared" si="0"/>
        <v>10000</v>
      </c>
      <c r="L12" s="3" t="s">
        <v>69</v>
      </c>
      <c r="M12" s="7"/>
      <c r="N12" s="7" t="s">
        <v>121</v>
      </c>
    </row>
    <row r="13" spans="1:15" s="6" customFormat="1">
      <c r="A13" s="3" t="s">
        <v>32</v>
      </c>
      <c r="B13" s="3" t="s">
        <v>34</v>
      </c>
      <c r="C13" s="8" t="s">
        <v>117</v>
      </c>
      <c r="D13" s="3">
        <v>5000</v>
      </c>
      <c r="E13" s="3">
        <v>31300</v>
      </c>
      <c r="F13" s="3">
        <v>3411</v>
      </c>
      <c r="G13" s="23" t="s">
        <v>33</v>
      </c>
      <c r="H13" s="3">
        <v>61400</v>
      </c>
      <c r="I13" s="17">
        <v>2825</v>
      </c>
      <c r="J13" s="17"/>
      <c r="K13" s="18">
        <f t="shared" si="0"/>
        <v>2825</v>
      </c>
      <c r="L13" s="3" t="s">
        <v>69</v>
      </c>
      <c r="M13" s="3"/>
      <c r="N13" s="3"/>
      <c r="O13" s="7"/>
    </row>
    <row r="14" spans="1:15" s="6" customFormat="1">
      <c r="A14" s="3" t="s">
        <v>32</v>
      </c>
      <c r="B14" s="3" t="s">
        <v>67</v>
      </c>
      <c r="C14" s="8" t="s">
        <v>117</v>
      </c>
      <c r="D14" s="3">
        <v>5000</v>
      </c>
      <c r="E14" s="3">
        <v>31300</v>
      </c>
      <c r="F14" s="3">
        <v>3411</v>
      </c>
      <c r="G14" s="23" t="s">
        <v>33</v>
      </c>
      <c r="H14" s="3">
        <v>61400</v>
      </c>
      <c r="I14" s="17">
        <v>2000</v>
      </c>
      <c r="J14" s="17">
        <v>0</v>
      </c>
      <c r="K14" s="18">
        <f t="shared" si="0"/>
        <v>2000</v>
      </c>
      <c r="L14" s="3" t="s">
        <v>69</v>
      </c>
      <c r="M14" s="3"/>
      <c r="N14" s="3"/>
      <c r="O14" s="7"/>
    </row>
    <row r="15" spans="1:15" ht="30">
      <c r="A15" s="3" t="s">
        <v>10</v>
      </c>
      <c r="B15" s="3" t="s">
        <v>45</v>
      </c>
      <c r="D15" s="3">
        <v>2000</v>
      </c>
      <c r="E15" s="3">
        <v>31300</v>
      </c>
      <c r="F15" s="3">
        <v>3411</v>
      </c>
      <c r="G15" s="23">
        <v>2392</v>
      </c>
      <c r="H15" s="3">
        <v>130500</v>
      </c>
      <c r="I15" s="17">
        <v>2500</v>
      </c>
      <c r="J15" s="17">
        <v>2500</v>
      </c>
      <c r="K15" s="18">
        <f t="shared" si="0"/>
        <v>5000</v>
      </c>
      <c r="L15" s="3" t="s">
        <v>70</v>
      </c>
      <c r="N15" s="3" t="s">
        <v>124</v>
      </c>
      <c r="O15" s="7" t="s">
        <v>123</v>
      </c>
    </row>
    <row r="16" spans="1:15">
      <c r="A16" s="3" t="s">
        <v>10</v>
      </c>
      <c r="B16" s="3" t="s">
        <v>46</v>
      </c>
      <c r="D16" s="3">
        <v>3000</v>
      </c>
      <c r="E16" s="3">
        <v>31300</v>
      </c>
      <c r="F16" s="3">
        <v>3411</v>
      </c>
      <c r="G16" s="23">
        <v>3802</v>
      </c>
      <c r="H16" s="3">
        <v>130500</v>
      </c>
      <c r="I16" s="17">
        <f>2500*0.478%</f>
        <v>11.95</v>
      </c>
      <c r="J16" s="17">
        <f>2500*0.478%</f>
        <v>11.95</v>
      </c>
      <c r="K16" s="18">
        <f t="shared" si="0"/>
        <v>23.9</v>
      </c>
      <c r="L16" s="3" t="s">
        <v>70</v>
      </c>
      <c r="O16" s="7" t="s">
        <v>123</v>
      </c>
    </row>
    <row r="17" spans="1:15" ht="30">
      <c r="A17" s="3" t="s">
        <v>10</v>
      </c>
      <c r="B17" s="3" t="s">
        <v>14</v>
      </c>
      <c r="C17" s="3" t="s">
        <v>9</v>
      </c>
      <c r="D17" s="3">
        <v>6000</v>
      </c>
      <c r="E17" s="5">
        <v>31330</v>
      </c>
      <c r="F17" s="3">
        <v>3411</v>
      </c>
      <c r="G17" s="23" t="s">
        <v>12</v>
      </c>
      <c r="H17" s="3">
        <v>130500</v>
      </c>
      <c r="I17" s="17">
        <v>2700</v>
      </c>
      <c r="J17" s="17">
        <v>0</v>
      </c>
      <c r="K17" s="18">
        <f t="shared" si="0"/>
        <v>2700</v>
      </c>
      <c r="L17" s="3" t="s">
        <v>69</v>
      </c>
      <c r="N17" s="3" t="s">
        <v>126</v>
      </c>
      <c r="O17" s="45" t="s">
        <v>15</v>
      </c>
    </row>
    <row r="18" spans="1:15" ht="30">
      <c r="A18" s="3" t="s">
        <v>10</v>
      </c>
      <c r="B18" s="3" t="s">
        <v>11</v>
      </c>
      <c r="D18" s="3">
        <v>6000</v>
      </c>
      <c r="E18" s="3">
        <v>31300</v>
      </c>
      <c r="F18" s="3">
        <v>3411</v>
      </c>
      <c r="G18" s="23">
        <v>6000</v>
      </c>
      <c r="H18" s="3">
        <v>130500</v>
      </c>
      <c r="I18" s="17">
        <v>95000</v>
      </c>
      <c r="J18" s="17">
        <v>0</v>
      </c>
      <c r="K18" s="18">
        <f t="shared" si="0"/>
        <v>95000</v>
      </c>
      <c r="L18" s="3" t="s">
        <v>22</v>
      </c>
      <c r="N18" s="3" t="s">
        <v>23</v>
      </c>
      <c r="O18" s="7" t="s">
        <v>24</v>
      </c>
    </row>
    <row r="19" spans="1:15">
      <c r="A19" s="3" t="s">
        <v>42</v>
      </c>
      <c r="B19" s="3" t="s">
        <v>35</v>
      </c>
      <c r="D19" s="3">
        <v>4000</v>
      </c>
      <c r="E19" s="3">
        <v>31300</v>
      </c>
      <c r="F19" s="3">
        <v>3411</v>
      </c>
      <c r="G19" s="23">
        <v>4510</v>
      </c>
      <c r="H19" s="3">
        <v>130300</v>
      </c>
      <c r="I19" s="17">
        <v>2000</v>
      </c>
      <c r="J19" s="17">
        <v>2000</v>
      </c>
      <c r="K19" s="18">
        <f t="shared" si="0"/>
        <v>4000</v>
      </c>
      <c r="L19" s="3" t="s">
        <v>70</v>
      </c>
    </row>
    <row r="20" spans="1:15" ht="30">
      <c r="A20" s="3" t="s">
        <v>42</v>
      </c>
      <c r="B20" s="3" t="s">
        <v>43</v>
      </c>
      <c r="C20" s="8" t="s">
        <v>117</v>
      </c>
      <c r="D20" s="3">
        <v>5000</v>
      </c>
      <c r="E20" s="3">
        <v>31300</v>
      </c>
      <c r="F20" s="3">
        <v>3411</v>
      </c>
      <c r="G20" s="23">
        <v>5695</v>
      </c>
      <c r="H20" s="3">
        <v>130300</v>
      </c>
      <c r="J20" s="17">
        <v>3000</v>
      </c>
      <c r="K20" s="18">
        <f t="shared" si="0"/>
        <v>3000</v>
      </c>
      <c r="L20" s="3" t="s">
        <v>70</v>
      </c>
      <c r="N20" s="3" t="s">
        <v>125</v>
      </c>
    </row>
    <row r="21" spans="1:15" ht="30">
      <c r="A21" s="3" t="s">
        <v>5</v>
      </c>
      <c r="B21" s="3" t="s">
        <v>18</v>
      </c>
      <c r="C21" s="3" t="s">
        <v>9</v>
      </c>
      <c r="D21" s="3">
        <v>2000</v>
      </c>
      <c r="E21" s="3">
        <v>31300</v>
      </c>
      <c r="F21" s="3">
        <v>3414</v>
      </c>
      <c r="G21" s="23">
        <v>2120</v>
      </c>
      <c r="H21" s="3">
        <v>125500</v>
      </c>
      <c r="I21" s="17">
        <v>56658</v>
      </c>
      <c r="J21" s="17">
        <f>I21*1.05</f>
        <v>59490.9</v>
      </c>
      <c r="K21" s="18">
        <f t="shared" si="0"/>
        <v>116148.9</v>
      </c>
      <c r="L21" s="4" t="s">
        <v>13</v>
      </c>
      <c r="N21" s="3" t="s">
        <v>7</v>
      </c>
    </row>
    <row r="22" spans="1:15" ht="30">
      <c r="A22" s="3" t="s">
        <v>5</v>
      </c>
      <c r="B22" s="3" t="s">
        <v>19</v>
      </c>
      <c r="C22" s="3" t="s">
        <v>9</v>
      </c>
      <c r="D22" s="3">
        <v>3000</v>
      </c>
      <c r="E22" s="3">
        <v>31300</v>
      </c>
      <c r="F22" s="3">
        <v>3414</v>
      </c>
      <c r="G22" s="23">
        <v>3801</v>
      </c>
      <c r="H22" s="3">
        <v>125500</v>
      </c>
      <c r="I22" s="17">
        <v>30876.36</v>
      </c>
      <c r="J22" s="17">
        <f>I22*1.05</f>
        <v>32420.178000000004</v>
      </c>
      <c r="K22" s="18">
        <f t="shared" si="0"/>
        <v>63296.538</v>
      </c>
      <c r="L22" s="4" t="s">
        <v>13</v>
      </c>
      <c r="N22" s="3" t="s">
        <v>7</v>
      </c>
    </row>
    <row r="23" spans="1:15" ht="30">
      <c r="A23" s="3" t="s">
        <v>91</v>
      </c>
      <c r="B23" s="3" t="s">
        <v>92</v>
      </c>
      <c r="D23" s="3">
        <v>1000</v>
      </c>
      <c r="E23" s="3">
        <v>31300</v>
      </c>
      <c r="F23" s="3">
        <v>3411</v>
      </c>
      <c r="G23" s="23">
        <v>1495</v>
      </c>
      <c r="H23" s="3">
        <v>210400</v>
      </c>
      <c r="I23" s="17">
        <v>0</v>
      </c>
      <c r="J23" s="17">
        <f>56*10*15*1.05</f>
        <v>8820</v>
      </c>
      <c r="K23" s="18">
        <f t="shared" ref="K23:K24" si="1">SUM(I23:J23)</f>
        <v>8820</v>
      </c>
      <c r="L23" s="4" t="s">
        <v>130</v>
      </c>
      <c r="M23" s="3" t="s">
        <v>129</v>
      </c>
      <c r="N23" s="3" t="s">
        <v>7</v>
      </c>
      <c r="O23" s="7" t="s">
        <v>119</v>
      </c>
    </row>
    <row r="24" spans="1:15" ht="30">
      <c r="A24" s="3" t="s">
        <v>91</v>
      </c>
      <c r="B24" s="3" t="s">
        <v>93</v>
      </c>
      <c r="D24" s="3">
        <v>3000</v>
      </c>
      <c r="E24" s="3">
        <v>31300</v>
      </c>
      <c r="F24" s="3">
        <v>3411</v>
      </c>
      <c r="G24" s="23">
        <v>3802</v>
      </c>
      <c r="H24" s="3">
        <v>210400</v>
      </c>
      <c r="I24" s="17">
        <v>0</v>
      </c>
      <c r="J24" s="17">
        <f>0.13458*8820</f>
        <v>1186.9956</v>
      </c>
      <c r="K24" s="18">
        <f t="shared" si="1"/>
        <v>1186.9956</v>
      </c>
      <c r="L24" s="4" t="s">
        <v>130</v>
      </c>
      <c r="M24" s="3" t="s">
        <v>129</v>
      </c>
      <c r="N24" s="3" t="s">
        <v>7</v>
      </c>
      <c r="O24" s="7" t="s">
        <v>119</v>
      </c>
    </row>
    <row r="25" spans="1:15" ht="30">
      <c r="A25" s="3" t="s">
        <v>38</v>
      </c>
      <c r="B25" s="3" t="s">
        <v>20</v>
      </c>
      <c r="D25" s="3">
        <v>1000</v>
      </c>
      <c r="E25" s="3">
        <v>31300</v>
      </c>
      <c r="F25" s="3">
        <v>3411</v>
      </c>
      <c r="G25" s="23">
        <v>1495</v>
      </c>
      <c r="H25" s="3">
        <v>130200</v>
      </c>
      <c r="I25" s="17">
        <v>0</v>
      </c>
      <c r="J25" s="17">
        <f>56*10*15*1.05</f>
        <v>8820</v>
      </c>
      <c r="K25" s="18">
        <f t="shared" si="0"/>
        <v>8820</v>
      </c>
      <c r="L25" s="4" t="s">
        <v>130</v>
      </c>
      <c r="M25" s="3" t="s">
        <v>128</v>
      </c>
    </row>
    <row r="26" spans="1:15" ht="30">
      <c r="A26" s="3" t="s">
        <v>38</v>
      </c>
      <c r="B26" s="3" t="s">
        <v>21</v>
      </c>
      <c r="D26" s="3">
        <v>3000</v>
      </c>
      <c r="E26" s="3">
        <v>31300</v>
      </c>
      <c r="F26" s="3">
        <v>3411</v>
      </c>
      <c r="G26" s="23">
        <v>3802</v>
      </c>
      <c r="H26" s="3">
        <v>130200</v>
      </c>
      <c r="I26" s="17">
        <v>0</v>
      </c>
      <c r="J26" s="17">
        <f>0.13458*8820</f>
        <v>1186.9956</v>
      </c>
      <c r="K26" s="18">
        <f t="shared" si="0"/>
        <v>1186.9956</v>
      </c>
      <c r="L26" s="4" t="s">
        <v>130</v>
      </c>
    </row>
    <row r="27" spans="1:15">
      <c r="A27" s="3" t="s">
        <v>38</v>
      </c>
      <c r="B27" s="3" t="s">
        <v>39</v>
      </c>
      <c r="C27" s="8" t="s">
        <v>117</v>
      </c>
      <c r="D27" s="3">
        <v>5000</v>
      </c>
      <c r="E27" s="3">
        <v>31300</v>
      </c>
      <c r="F27" s="3">
        <v>3411</v>
      </c>
      <c r="G27" s="23">
        <v>5695</v>
      </c>
      <c r="H27" s="3">
        <v>130200</v>
      </c>
      <c r="I27" s="17">
        <v>2225</v>
      </c>
      <c r="K27" s="18">
        <f t="shared" si="0"/>
        <v>2225</v>
      </c>
      <c r="L27" s="3" t="s">
        <v>70</v>
      </c>
      <c r="N27" s="3" t="s">
        <v>40</v>
      </c>
    </row>
    <row r="28" spans="1:15">
      <c r="A28" s="3" t="s">
        <v>38</v>
      </c>
      <c r="B28" s="3" t="s">
        <v>39</v>
      </c>
      <c r="C28" s="8" t="s">
        <v>117</v>
      </c>
      <c r="D28" s="3">
        <v>5000</v>
      </c>
      <c r="E28" s="3">
        <v>31300</v>
      </c>
      <c r="F28" s="3">
        <v>3411</v>
      </c>
      <c r="G28" s="23">
        <v>5695</v>
      </c>
      <c r="H28" s="3">
        <v>130200</v>
      </c>
      <c r="J28" s="17">
        <v>5000</v>
      </c>
      <c r="K28" s="18">
        <f t="shared" si="0"/>
        <v>5000</v>
      </c>
      <c r="L28" s="3" t="s">
        <v>70</v>
      </c>
      <c r="N28" s="3" t="s">
        <v>41</v>
      </c>
    </row>
    <row r="29" spans="1:15" ht="45">
      <c r="A29" s="3" t="s">
        <v>27</v>
      </c>
      <c r="B29" s="3" t="s">
        <v>29</v>
      </c>
      <c r="D29" s="3">
        <v>6000</v>
      </c>
      <c r="E29" s="3">
        <v>31300</v>
      </c>
      <c r="F29" s="3">
        <v>3411</v>
      </c>
      <c r="G29" s="23" t="s">
        <v>25</v>
      </c>
      <c r="H29" s="3" t="s">
        <v>30</v>
      </c>
      <c r="J29" s="17">
        <v>150000</v>
      </c>
      <c r="K29" s="18">
        <f t="shared" si="0"/>
        <v>150000</v>
      </c>
      <c r="L29" s="3" t="s">
        <v>71</v>
      </c>
      <c r="N29" s="3" t="s">
        <v>31</v>
      </c>
    </row>
    <row r="30" spans="1:15" ht="30">
      <c r="A30" s="3" t="s">
        <v>17</v>
      </c>
      <c r="B30" s="3" t="s">
        <v>20</v>
      </c>
      <c r="D30" s="3">
        <v>1000</v>
      </c>
      <c r="E30" s="3">
        <v>31300</v>
      </c>
      <c r="F30" s="3">
        <v>3411</v>
      </c>
      <c r="G30" s="23">
        <v>1495</v>
      </c>
      <c r="H30" s="3">
        <v>120800</v>
      </c>
      <c r="I30" s="17">
        <v>0</v>
      </c>
      <c r="J30" s="17">
        <v>8820</v>
      </c>
      <c r="K30" s="18">
        <f t="shared" si="0"/>
        <v>8820</v>
      </c>
      <c r="L30" s="4" t="s">
        <v>130</v>
      </c>
      <c r="M30" s="3" t="s">
        <v>128</v>
      </c>
      <c r="N30" s="3" t="s">
        <v>7</v>
      </c>
      <c r="O30" s="7" t="s">
        <v>119</v>
      </c>
    </row>
    <row r="31" spans="1:15" ht="30">
      <c r="A31" s="3" t="s">
        <v>17</v>
      </c>
      <c r="B31" s="3" t="s">
        <v>21</v>
      </c>
      <c r="D31" s="3">
        <v>3000</v>
      </c>
      <c r="E31" s="3">
        <v>31300</v>
      </c>
      <c r="F31" s="3">
        <v>3411</v>
      </c>
      <c r="G31" s="23">
        <v>3802</v>
      </c>
      <c r="H31" s="3">
        <v>120800</v>
      </c>
      <c r="I31" s="17">
        <v>0</v>
      </c>
      <c r="J31" s="17">
        <v>1186.9956</v>
      </c>
      <c r="K31" s="18">
        <f t="shared" si="0"/>
        <v>1186.9956</v>
      </c>
      <c r="L31" s="4" t="s">
        <v>130</v>
      </c>
      <c r="N31" s="3" t="s">
        <v>7</v>
      </c>
      <c r="O31" s="7" t="s">
        <v>119</v>
      </c>
    </row>
    <row r="32" spans="1:15">
      <c r="A32" s="3" t="s">
        <v>17</v>
      </c>
      <c r="B32" s="3" t="s">
        <v>35</v>
      </c>
      <c r="D32" s="3">
        <v>4000</v>
      </c>
      <c r="E32" s="3">
        <v>31300</v>
      </c>
      <c r="F32" s="3">
        <v>3411</v>
      </c>
      <c r="G32" s="23" t="s">
        <v>36</v>
      </c>
      <c r="H32" s="3">
        <v>120800</v>
      </c>
      <c r="I32" s="17">
        <v>0</v>
      </c>
      <c r="J32" s="17">
        <v>15000</v>
      </c>
      <c r="K32" s="18">
        <f t="shared" si="0"/>
        <v>15000</v>
      </c>
      <c r="L32" s="3" t="s">
        <v>70</v>
      </c>
      <c r="M32" s="3" t="s">
        <v>37</v>
      </c>
    </row>
    <row r="33" spans="1:15" ht="45">
      <c r="A33" s="3" t="s">
        <v>17</v>
      </c>
      <c r="B33" s="3" t="s">
        <v>28</v>
      </c>
      <c r="D33" s="3">
        <v>6000</v>
      </c>
      <c r="E33" s="3">
        <v>31300</v>
      </c>
      <c r="F33" s="3">
        <v>3411</v>
      </c>
      <c r="G33" s="23" t="s">
        <v>25</v>
      </c>
      <c r="H33" s="3">
        <v>130500</v>
      </c>
      <c r="I33" s="17">
        <v>100000</v>
      </c>
      <c r="K33" s="18">
        <f t="shared" si="0"/>
        <v>100000</v>
      </c>
      <c r="L33" s="3" t="s">
        <v>22</v>
      </c>
      <c r="N33" s="3" t="s">
        <v>26</v>
      </c>
    </row>
    <row r="34" spans="1:15" ht="30">
      <c r="A34" s="7" t="s">
        <v>60</v>
      </c>
      <c r="B34" s="7" t="s">
        <v>59</v>
      </c>
      <c r="D34" s="7">
        <v>2000</v>
      </c>
      <c r="E34" s="3">
        <v>31300</v>
      </c>
      <c r="F34" s="3">
        <v>3412</v>
      </c>
      <c r="G34" s="23">
        <v>2360</v>
      </c>
      <c r="H34" s="3">
        <v>639003</v>
      </c>
      <c r="I34" s="19">
        <v>25000</v>
      </c>
      <c r="J34" s="19">
        <v>25000</v>
      </c>
      <c r="K34" s="20">
        <f t="shared" si="0"/>
        <v>50000</v>
      </c>
      <c r="L34" s="7" t="s">
        <v>70</v>
      </c>
      <c r="M34" s="7" t="s">
        <v>61</v>
      </c>
      <c r="N34" s="7" t="s">
        <v>132</v>
      </c>
    </row>
    <row r="35" spans="1:15" ht="45">
      <c r="A35" s="7" t="s">
        <v>51</v>
      </c>
      <c r="B35" s="3" t="s">
        <v>45</v>
      </c>
      <c r="D35" s="3">
        <v>2000</v>
      </c>
      <c r="E35" s="3">
        <v>31300</v>
      </c>
      <c r="F35" s="3">
        <v>3411</v>
      </c>
      <c r="G35" s="23">
        <v>2392</v>
      </c>
      <c r="H35" s="3">
        <v>639003</v>
      </c>
      <c r="I35" s="17">
        <v>0</v>
      </c>
      <c r="J35" s="17">
        <v>15000</v>
      </c>
      <c r="K35" s="18">
        <f t="shared" si="0"/>
        <v>15000</v>
      </c>
      <c r="L35" s="7" t="s">
        <v>70</v>
      </c>
      <c r="M35" s="3" t="s">
        <v>52</v>
      </c>
      <c r="N35" s="7" t="s">
        <v>133</v>
      </c>
    </row>
    <row r="36" spans="1:15" s="6" customFormat="1" ht="45">
      <c r="A36" s="7" t="s">
        <v>51</v>
      </c>
      <c r="B36" s="3" t="s">
        <v>46</v>
      </c>
      <c r="C36" s="3"/>
      <c r="D36" s="3">
        <v>2000</v>
      </c>
      <c r="E36" s="3">
        <v>31300</v>
      </c>
      <c r="F36" s="3">
        <v>3411</v>
      </c>
      <c r="G36" s="23">
        <v>3802</v>
      </c>
      <c r="H36" s="3">
        <v>639003</v>
      </c>
      <c r="I36" s="17">
        <v>0</v>
      </c>
      <c r="J36" s="17">
        <f>15000*0.00478</f>
        <v>71.7</v>
      </c>
      <c r="K36" s="18">
        <f t="shared" si="0"/>
        <v>71.7</v>
      </c>
      <c r="L36" s="7" t="s">
        <v>70</v>
      </c>
      <c r="M36" s="3" t="s">
        <v>52</v>
      </c>
      <c r="N36" s="7" t="s">
        <v>133</v>
      </c>
      <c r="O36" s="7"/>
    </row>
    <row r="37" spans="1:15" s="6" customFormat="1">
      <c r="A37" s="37" t="s">
        <v>112</v>
      </c>
      <c r="B37" s="37"/>
      <c r="C37" s="37"/>
      <c r="D37" s="37"/>
      <c r="E37" s="37"/>
      <c r="F37" s="37"/>
      <c r="G37" s="38"/>
      <c r="H37" s="37"/>
      <c r="I37" s="39"/>
      <c r="J37" s="39">
        <f>L41/1.04-SUM(K7:K36)</f>
        <v>20254.893287999905</v>
      </c>
      <c r="K37" s="40">
        <f>J37</f>
        <v>20254.893287999905</v>
      </c>
      <c r="L37" s="41"/>
      <c r="M37" s="42"/>
      <c r="N37" s="3"/>
      <c r="O37" s="7"/>
    </row>
    <row r="38" spans="1:15" s="6" customFormat="1">
      <c r="A38" s="3"/>
      <c r="B38" s="3"/>
      <c r="C38" s="3"/>
      <c r="D38" s="3"/>
      <c r="E38" s="3"/>
      <c r="F38" s="3"/>
      <c r="G38" s="23"/>
      <c r="H38" s="3"/>
      <c r="I38" s="17"/>
      <c r="J38" s="17"/>
      <c r="K38" s="18"/>
      <c r="L38" s="7"/>
      <c r="M38" s="3"/>
      <c r="N38" s="3"/>
      <c r="O38" s="7"/>
    </row>
    <row r="39" spans="1:15">
      <c r="K39" s="18">
        <f t="shared" ref="K39:K40" si="2">SUM(I39:J39)</f>
        <v>0</v>
      </c>
    </row>
    <row r="40" spans="1:15" s="6" customFormat="1">
      <c r="A40" s="7" t="s">
        <v>44</v>
      </c>
      <c r="B40" s="7"/>
      <c r="C40" s="7"/>
      <c r="D40" s="7"/>
      <c r="E40" s="7"/>
      <c r="F40" s="7"/>
      <c r="G40" s="29"/>
      <c r="H40" s="7"/>
      <c r="I40" s="19">
        <f>SUM(I7:I39)*0.04</f>
        <v>16119.56342</v>
      </c>
      <c r="J40" s="19">
        <f>SUM(J7:J39)*0.04</f>
        <v>14758.535343519996</v>
      </c>
      <c r="K40" s="20">
        <f t="shared" si="2"/>
        <v>30878.098763519996</v>
      </c>
      <c r="L40" s="7"/>
      <c r="M40" s="7"/>
      <c r="N40" s="7"/>
      <c r="O40" s="7"/>
    </row>
    <row r="41" spans="1:15" s="9" customFormat="1" ht="15.75" thickBot="1">
      <c r="A41" s="10"/>
      <c r="B41" s="10"/>
      <c r="C41" s="10"/>
      <c r="D41" s="10"/>
      <c r="E41" s="10"/>
      <c r="F41" s="10"/>
      <c r="G41" s="26"/>
      <c r="H41" s="10"/>
      <c r="I41" s="21">
        <f>SUM(I7:I40)</f>
        <v>419108.64892000001</v>
      </c>
      <c r="J41" s="21">
        <f>SUM(J7:J40)</f>
        <v>383721.9189315199</v>
      </c>
      <c r="K41" s="22">
        <f>SUM(I41:J41)</f>
        <v>802830.56785151991</v>
      </c>
      <c r="L41" s="24">
        <v>802830.56785151991</v>
      </c>
      <c r="M41" s="10"/>
      <c r="N41" s="10"/>
      <c r="O41" s="46"/>
    </row>
    <row r="42" spans="1:15" ht="15.75" thickTop="1">
      <c r="A42" s="43"/>
    </row>
    <row r="43" spans="1:15">
      <c r="A43" s="1"/>
      <c r="B43" s="1"/>
      <c r="C43" s="1"/>
      <c r="D43" s="1"/>
      <c r="E43" s="1"/>
      <c r="F43" s="1"/>
      <c r="G43" s="25"/>
      <c r="H43" s="1"/>
      <c r="I43" s="15"/>
      <c r="J43" s="15"/>
    </row>
    <row r="44" spans="1:15">
      <c r="A44" s="1"/>
      <c r="B44" s="1"/>
      <c r="C44" s="1"/>
      <c r="D44" s="1"/>
      <c r="E44" s="1"/>
      <c r="F44" s="1"/>
      <c r="G44" s="25"/>
      <c r="H44" s="1"/>
    </row>
    <row r="49" spans="1:5" ht="75">
      <c r="A49" s="3" t="s">
        <v>82</v>
      </c>
      <c r="B49" s="3" t="s">
        <v>86</v>
      </c>
      <c r="E49" s="1"/>
    </row>
    <row r="50" spans="1:5" ht="90">
      <c r="A50" s="3" t="s">
        <v>75</v>
      </c>
      <c r="B50" s="3" t="s">
        <v>84</v>
      </c>
      <c r="E50" s="1"/>
    </row>
    <row r="51" spans="1:5" ht="75">
      <c r="A51" s="3" t="s">
        <v>76</v>
      </c>
      <c r="B51" s="3" t="s">
        <v>85</v>
      </c>
    </row>
    <row r="52" spans="1:5" ht="90">
      <c r="A52" s="3" t="s">
        <v>77</v>
      </c>
      <c r="B52" s="3" t="s">
        <v>85</v>
      </c>
    </row>
    <row r="53" spans="1:5" ht="75">
      <c r="A53" s="3" t="s">
        <v>78</v>
      </c>
      <c r="B53" s="3" t="s">
        <v>87</v>
      </c>
    </row>
    <row r="54" spans="1:5" ht="90">
      <c r="A54" s="3" t="s">
        <v>79</v>
      </c>
      <c r="B54" s="3" t="s">
        <v>85</v>
      </c>
    </row>
    <row r="55" spans="1:5" ht="60">
      <c r="A55" s="3" t="s">
        <v>80</v>
      </c>
      <c r="B55" s="3" t="s">
        <v>87</v>
      </c>
    </row>
    <row r="56" spans="1:5" ht="75">
      <c r="A56" s="3" t="s">
        <v>83</v>
      </c>
      <c r="B56" s="3" t="s">
        <v>87</v>
      </c>
    </row>
    <row r="108" spans="2:2" ht="28.5">
      <c r="B108" s="28" t="s">
        <v>74</v>
      </c>
    </row>
    <row r="109" spans="2:2" ht="28.5">
      <c r="B109" s="28" t="s">
        <v>75</v>
      </c>
    </row>
    <row r="110" spans="2:2" ht="28.5">
      <c r="B110" s="28" t="s">
        <v>76</v>
      </c>
    </row>
    <row r="111" spans="2:2" ht="28.5">
      <c r="B111" s="28" t="s">
        <v>77</v>
      </c>
    </row>
    <row r="112" spans="2:2" ht="28.5">
      <c r="B112" s="28" t="s">
        <v>78</v>
      </c>
    </row>
    <row r="113" spans="2:2" ht="28.5">
      <c r="B113" s="28" t="s">
        <v>79</v>
      </c>
    </row>
    <row r="114" spans="2:2" ht="28.5">
      <c r="B114" s="28" t="s">
        <v>80</v>
      </c>
    </row>
  </sheetData>
  <sortState xmlns:xlrd2="http://schemas.microsoft.com/office/spreadsheetml/2017/richdata2" ref="A7:O36">
    <sortCondition ref="A7:A36"/>
    <sortCondition ref="D7:D36"/>
  </sortState>
  <mergeCells count="3">
    <mergeCell ref="A1:O1"/>
    <mergeCell ref="A2:O2"/>
    <mergeCell ref="A3:O3"/>
  </mergeCells>
  <pageMargins left="0.7" right="0.7" top="0.75" bottom="0.75" header="0.3" footer="0.3"/>
  <pageSetup scale="55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02A30-7B0F-4080-AEBC-2B0EEC4C838E}">
  <sheetPr>
    <pageSetUpPr fitToPage="1"/>
  </sheetPr>
  <dimension ref="A1:V26"/>
  <sheetViews>
    <sheetView workbookViewId="0">
      <selection activeCell="E31" sqref="E31"/>
    </sheetView>
  </sheetViews>
  <sheetFormatPr defaultRowHeight="15"/>
  <cols>
    <col min="1" max="1" width="11.7109375" style="35" bestFit="1" customWidth="1"/>
    <col min="2" max="2" width="35.5703125" style="35" customWidth="1"/>
    <col min="3" max="3" width="15" style="35" bestFit="1" customWidth="1"/>
    <col min="4" max="4" width="6.85546875" style="35" customWidth="1"/>
    <col min="5" max="5" width="6" style="35" customWidth="1"/>
    <col min="6" max="6" width="5" style="35" customWidth="1"/>
    <col min="7" max="7" width="8.140625" style="35" customWidth="1"/>
    <col min="8" max="8" width="8.42578125" style="35" customWidth="1"/>
    <col min="9" max="9" width="9" style="35" bestFit="1" customWidth="1"/>
    <col min="10" max="10" width="11.85546875" style="35" bestFit="1" customWidth="1"/>
    <col min="11" max="12" width="11.85546875" style="35" customWidth="1"/>
    <col min="13" max="13" width="14.7109375" style="35" customWidth="1"/>
    <col min="14" max="14" width="23.28515625" style="35" customWidth="1"/>
    <col min="15" max="15" width="13.5703125" style="35" bestFit="1" customWidth="1"/>
    <col min="16" max="16" width="21.7109375" style="35" customWidth="1"/>
    <col min="17" max="17" width="7.140625" style="35" bestFit="1" customWidth="1"/>
    <col min="18" max="16384" width="9.140625" style="35"/>
  </cols>
  <sheetData>
    <row r="1" spans="1:22" s="2" customFormat="1" ht="18.75">
      <c r="A1" s="27" t="s">
        <v>56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11"/>
    </row>
    <row r="2" spans="1:22" s="2" customFormat="1" ht="18.75">
      <c r="A2" s="27" t="s">
        <v>55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1"/>
    </row>
    <row r="3" spans="1:22" s="2" customFormat="1" ht="37.5" customHeight="1">
      <c r="A3" s="27" t="s">
        <v>81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11"/>
    </row>
    <row r="4" spans="1:22" s="2" customFormat="1">
      <c r="A4" s="3"/>
      <c r="B4" s="3"/>
      <c r="C4" s="3"/>
      <c r="D4" s="3"/>
      <c r="E4" s="3"/>
      <c r="F4" s="3"/>
      <c r="G4" s="23"/>
      <c r="H4" s="3"/>
      <c r="I4" s="17"/>
      <c r="J4" s="17"/>
      <c r="K4" s="17"/>
      <c r="L4" s="17"/>
      <c r="M4" s="18"/>
      <c r="N4" s="3"/>
      <c r="O4" s="3"/>
      <c r="P4" s="3"/>
      <c r="Q4" s="8"/>
    </row>
    <row r="5" spans="1:22" s="30" customFormat="1">
      <c r="A5" s="1"/>
      <c r="B5" s="1"/>
      <c r="C5" s="1"/>
      <c r="D5" s="1"/>
      <c r="E5" s="1"/>
      <c r="F5" s="1"/>
      <c r="G5" s="25"/>
      <c r="H5" s="1"/>
      <c r="I5" s="15"/>
      <c r="J5" s="15"/>
      <c r="K5" s="51" t="s">
        <v>131</v>
      </c>
      <c r="L5" s="52"/>
      <c r="M5" s="56" t="s">
        <v>138</v>
      </c>
      <c r="N5" s="1"/>
      <c r="O5" s="1"/>
      <c r="P5" s="1"/>
      <c r="Q5" s="12"/>
    </row>
    <row r="6" spans="1:22" s="1" customFormat="1">
      <c r="A6" s="30" t="s">
        <v>0</v>
      </c>
      <c r="B6" s="30" t="s">
        <v>1</v>
      </c>
      <c r="C6" s="30" t="s">
        <v>8</v>
      </c>
      <c r="D6" s="30" t="s">
        <v>4</v>
      </c>
      <c r="E6" s="30" t="s">
        <v>47</v>
      </c>
      <c r="F6" s="30" t="s">
        <v>48</v>
      </c>
      <c r="G6" s="31" t="s">
        <v>49</v>
      </c>
      <c r="H6" s="30" t="s">
        <v>50</v>
      </c>
      <c r="I6" s="32" t="s">
        <v>113</v>
      </c>
      <c r="J6" s="32" t="s">
        <v>54</v>
      </c>
      <c r="K6" s="32" t="s">
        <v>53</v>
      </c>
      <c r="L6" s="47" t="s">
        <v>118</v>
      </c>
      <c r="M6" s="57" t="s">
        <v>139</v>
      </c>
      <c r="N6" s="30" t="s">
        <v>2</v>
      </c>
      <c r="O6" s="30" t="s">
        <v>3</v>
      </c>
      <c r="P6" s="30" t="s">
        <v>6</v>
      </c>
      <c r="Q6" s="33" t="s">
        <v>16</v>
      </c>
    </row>
    <row r="7" spans="1:22" s="2" customFormat="1">
      <c r="A7" s="3" t="s">
        <v>94</v>
      </c>
      <c r="B7" s="3" t="s">
        <v>95</v>
      </c>
      <c r="C7" s="3" t="s">
        <v>9</v>
      </c>
      <c r="D7" s="3">
        <v>2000</v>
      </c>
      <c r="E7" s="35">
        <v>31333</v>
      </c>
      <c r="F7" s="36">
        <v>3229</v>
      </c>
      <c r="G7" s="36">
        <v>2130</v>
      </c>
      <c r="H7" s="36">
        <v>671000</v>
      </c>
      <c r="I7" s="17">
        <f>(16500/0.17)*0.25/2</f>
        <v>12132.35294117647</v>
      </c>
      <c r="J7" s="17">
        <f>(16500/0.17)*0.25/2</f>
        <v>12132.35294117647</v>
      </c>
      <c r="K7" s="17">
        <f>J7*1.05</f>
        <v>12738.970588235294</v>
      </c>
      <c r="L7" s="48">
        <f>K7</f>
        <v>12738.970588235294</v>
      </c>
      <c r="M7" s="18">
        <f>SUM(I7:L7)</f>
        <v>49742.647058823532</v>
      </c>
      <c r="N7" s="3" t="s">
        <v>109</v>
      </c>
      <c r="O7" s="3" t="s">
        <v>101</v>
      </c>
      <c r="P7" s="3" t="s">
        <v>134</v>
      </c>
      <c r="Q7" s="8"/>
      <c r="V7" s="17"/>
    </row>
    <row r="8" spans="1:22" s="2" customFormat="1">
      <c r="A8" s="3" t="s">
        <v>94</v>
      </c>
      <c r="B8" s="3" t="s">
        <v>95</v>
      </c>
      <c r="C8" s="3" t="s">
        <v>9</v>
      </c>
      <c r="D8" s="3">
        <v>3000</v>
      </c>
      <c r="E8" s="35">
        <v>31333</v>
      </c>
      <c r="F8" s="36">
        <v>3229</v>
      </c>
      <c r="G8" s="36">
        <v>3801</v>
      </c>
      <c r="H8" s="36">
        <v>671000</v>
      </c>
      <c r="I8" s="17">
        <f>12132*0.5858546</f>
        <v>7107.5880072</v>
      </c>
      <c r="J8" s="17">
        <f>12132*0.5858546</f>
        <v>7107.5880072</v>
      </c>
      <c r="K8" s="17">
        <f t="shared" ref="K8:K17" si="0">J8*1.05</f>
        <v>7462.9674075600005</v>
      </c>
      <c r="L8" s="48">
        <f t="shared" ref="L8:L17" si="1">K8</f>
        <v>7462.9674075600005</v>
      </c>
      <c r="M8" s="18">
        <f t="shared" ref="M8:M18" si="2">SUM(I8:L8)</f>
        <v>29141.110829520003</v>
      </c>
      <c r="N8" s="3" t="s">
        <v>109</v>
      </c>
      <c r="O8" s="3" t="s">
        <v>101</v>
      </c>
      <c r="P8" s="3" t="s">
        <v>134</v>
      </c>
      <c r="Q8" s="8"/>
      <c r="V8" s="17"/>
    </row>
    <row r="9" spans="1:22" s="2" customFormat="1">
      <c r="A9" s="7" t="s">
        <v>96</v>
      </c>
      <c r="B9" s="7" t="s">
        <v>97</v>
      </c>
      <c r="C9" s="3" t="s">
        <v>9</v>
      </c>
      <c r="D9" s="3">
        <v>2000</v>
      </c>
      <c r="E9" s="35">
        <v>31333</v>
      </c>
      <c r="F9" s="3">
        <v>3411</v>
      </c>
      <c r="G9" s="36">
        <v>2130</v>
      </c>
      <c r="H9" s="34">
        <v>639003</v>
      </c>
      <c r="I9" s="19">
        <f>40422/2</f>
        <v>20211</v>
      </c>
      <c r="J9" s="19">
        <f>40422/2</f>
        <v>20211</v>
      </c>
      <c r="K9" s="17">
        <f t="shared" si="0"/>
        <v>21221.55</v>
      </c>
      <c r="L9" s="48">
        <f t="shared" si="1"/>
        <v>21221.55</v>
      </c>
      <c r="M9" s="18">
        <f t="shared" si="2"/>
        <v>82865.100000000006</v>
      </c>
      <c r="N9" s="3" t="s">
        <v>98</v>
      </c>
      <c r="O9" s="3" t="s">
        <v>101</v>
      </c>
      <c r="P9" s="3" t="s">
        <v>134</v>
      </c>
      <c r="Q9" s="8"/>
      <c r="V9" s="19"/>
    </row>
    <row r="10" spans="1:22" s="2" customFormat="1">
      <c r="A10" s="7" t="s">
        <v>96</v>
      </c>
      <c r="B10" s="7" t="s">
        <v>97</v>
      </c>
      <c r="C10" s="3" t="s">
        <v>9</v>
      </c>
      <c r="D10" s="3">
        <v>3000</v>
      </c>
      <c r="E10" s="35">
        <v>31333</v>
      </c>
      <c r="F10" s="3">
        <v>3411</v>
      </c>
      <c r="G10" s="36">
        <v>3801</v>
      </c>
      <c r="H10" s="34">
        <v>639003</v>
      </c>
      <c r="I10" s="19">
        <f>20211*0.5858546</f>
        <v>11840.7073206</v>
      </c>
      <c r="J10" s="19">
        <f>20211*0.5858546</f>
        <v>11840.7073206</v>
      </c>
      <c r="K10" s="17">
        <f t="shared" si="0"/>
        <v>12432.742686630001</v>
      </c>
      <c r="L10" s="48">
        <f t="shared" si="1"/>
        <v>12432.742686630001</v>
      </c>
      <c r="M10" s="18">
        <f t="shared" si="2"/>
        <v>48546.900014460007</v>
      </c>
      <c r="N10" s="3" t="s">
        <v>98</v>
      </c>
      <c r="O10" s="3" t="s">
        <v>101</v>
      </c>
      <c r="P10" s="3" t="s">
        <v>134</v>
      </c>
      <c r="Q10" s="8"/>
      <c r="V10" s="19"/>
    </row>
    <row r="11" spans="1:22" s="6" customFormat="1">
      <c r="A11" s="7" t="s">
        <v>96</v>
      </c>
      <c r="B11" s="3" t="s">
        <v>99</v>
      </c>
      <c r="C11" s="3" t="s">
        <v>9</v>
      </c>
      <c r="D11" s="3">
        <v>1000</v>
      </c>
      <c r="E11" s="35">
        <v>31333</v>
      </c>
      <c r="F11" s="3">
        <v>3412</v>
      </c>
      <c r="G11" s="36">
        <v>1270</v>
      </c>
      <c r="H11" s="34">
        <v>639003</v>
      </c>
      <c r="I11" s="19">
        <f>149937*0.6/2</f>
        <v>44981.1</v>
      </c>
      <c r="J11" s="19">
        <v>44981</v>
      </c>
      <c r="K11" s="17">
        <f t="shared" si="0"/>
        <v>47230.05</v>
      </c>
      <c r="L11" s="48">
        <f t="shared" si="1"/>
        <v>47230.05</v>
      </c>
      <c r="M11" s="18">
        <f t="shared" si="2"/>
        <v>184422.2</v>
      </c>
      <c r="N11" s="3" t="s">
        <v>100</v>
      </c>
      <c r="O11" s="3" t="s">
        <v>60</v>
      </c>
      <c r="P11" s="3" t="s">
        <v>134</v>
      </c>
      <c r="Q11" s="8"/>
      <c r="V11" s="19"/>
    </row>
    <row r="12" spans="1:22" s="6" customFormat="1">
      <c r="A12" s="7" t="s">
        <v>96</v>
      </c>
      <c r="B12" s="3" t="s">
        <v>99</v>
      </c>
      <c r="C12" s="3" t="s">
        <v>9</v>
      </c>
      <c r="D12" s="3">
        <v>3000</v>
      </c>
      <c r="E12" s="35">
        <v>31333</v>
      </c>
      <c r="F12" s="3">
        <v>3412</v>
      </c>
      <c r="G12" s="36">
        <v>3801</v>
      </c>
      <c r="H12" s="34">
        <v>639003</v>
      </c>
      <c r="I12" s="19">
        <f>44981*0.40769</f>
        <v>18338.303889999999</v>
      </c>
      <c r="J12" s="19">
        <f>44981*0.40769</f>
        <v>18338.303889999999</v>
      </c>
      <c r="K12" s="17">
        <f t="shared" si="0"/>
        <v>19255.2190845</v>
      </c>
      <c r="L12" s="48">
        <f t="shared" si="1"/>
        <v>19255.2190845</v>
      </c>
      <c r="M12" s="18">
        <f t="shared" si="2"/>
        <v>75187.045948999992</v>
      </c>
      <c r="N12" s="3" t="s">
        <v>100</v>
      </c>
      <c r="O12" s="3" t="s">
        <v>60</v>
      </c>
      <c r="P12" s="3" t="s">
        <v>134</v>
      </c>
      <c r="Q12" s="8"/>
      <c r="V12" s="19"/>
    </row>
    <row r="13" spans="1:22" s="2" customFormat="1">
      <c r="A13" s="7" t="s">
        <v>96</v>
      </c>
      <c r="B13" s="7" t="s">
        <v>97</v>
      </c>
      <c r="C13" s="3" t="s">
        <v>9</v>
      </c>
      <c r="D13" s="3">
        <v>2000</v>
      </c>
      <c r="E13" s="35">
        <v>31333</v>
      </c>
      <c r="F13" s="3">
        <v>3412</v>
      </c>
      <c r="G13" s="36">
        <v>2130</v>
      </c>
      <c r="H13" s="34">
        <v>639003</v>
      </c>
      <c r="I13" s="19">
        <f>40422/2</f>
        <v>20211</v>
      </c>
      <c r="J13" s="19">
        <f>40422/2</f>
        <v>20211</v>
      </c>
      <c r="K13" s="17">
        <f t="shared" si="0"/>
        <v>21221.55</v>
      </c>
      <c r="L13" s="48">
        <f t="shared" si="1"/>
        <v>21221.55</v>
      </c>
      <c r="M13" s="18">
        <f t="shared" si="2"/>
        <v>82865.100000000006</v>
      </c>
      <c r="N13" s="3" t="s">
        <v>98</v>
      </c>
      <c r="O13" s="3" t="s">
        <v>60</v>
      </c>
      <c r="P13" s="3" t="s">
        <v>134</v>
      </c>
      <c r="Q13" s="8"/>
      <c r="V13" s="19"/>
    </row>
    <row r="14" spans="1:22" s="2" customFormat="1">
      <c r="A14" s="7" t="s">
        <v>96</v>
      </c>
      <c r="B14" s="7" t="s">
        <v>97</v>
      </c>
      <c r="C14" s="3" t="s">
        <v>9</v>
      </c>
      <c r="D14" s="3">
        <v>3000</v>
      </c>
      <c r="E14" s="35">
        <v>31333</v>
      </c>
      <c r="F14" s="3">
        <v>3412</v>
      </c>
      <c r="G14" s="36">
        <v>3801</v>
      </c>
      <c r="H14" s="34">
        <v>639003</v>
      </c>
      <c r="I14" s="19">
        <f>20211*0.5858546</f>
        <v>11840.7073206</v>
      </c>
      <c r="J14" s="19">
        <f>20211*0.5858546</f>
        <v>11840.7073206</v>
      </c>
      <c r="K14" s="17">
        <f t="shared" si="0"/>
        <v>12432.742686630001</v>
      </c>
      <c r="L14" s="48">
        <f t="shared" si="1"/>
        <v>12432.742686630001</v>
      </c>
      <c r="M14" s="18">
        <f t="shared" si="2"/>
        <v>48546.900014460007</v>
      </c>
      <c r="N14" s="3" t="s">
        <v>98</v>
      </c>
      <c r="O14" s="3" t="s">
        <v>60</v>
      </c>
      <c r="P14" s="3" t="s">
        <v>134</v>
      </c>
      <c r="Q14" s="8"/>
      <c r="V14" s="19"/>
    </row>
    <row r="15" spans="1:22" s="2" customFormat="1" ht="30">
      <c r="A15" s="7" t="s">
        <v>106</v>
      </c>
      <c r="B15" s="7" t="s">
        <v>107</v>
      </c>
      <c r="C15" s="3" t="s">
        <v>9</v>
      </c>
      <c r="D15" s="7">
        <v>5000</v>
      </c>
      <c r="E15" s="3">
        <v>31300</v>
      </c>
      <c r="F15" s="3">
        <v>3412</v>
      </c>
      <c r="G15" s="23">
        <v>5211</v>
      </c>
      <c r="H15" s="3">
        <v>675000</v>
      </c>
      <c r="I15" s="19">
        <v>0</v>
      </c>
      <c r="J15" s="19">
        <v>10000</v>
      </c>
      <c r="K15" s="19">
        <v>10000</v>
      </c>
      <c r="L15" s="48">
        <v>10000</v>
      </c>
      <c r="M15" s="18">
        <f t="shared" si="2"/>
        <v>30000</v>
      </c>
      <c r="N15" s="3" t="s">
        <v>108</v>
      </c>
      <c r="O15" s="7" t="s">
        <v>110</v>
      </c>
      <c r="P15" s="3" t="s">
        <v>134</v>
      </c>
      <c r="Q15" s="8"/>
    </row>
    <row r="16" spans="1:22" s="2" customFormat="1">
      <c r="A16" s="3" t="s">
        <v>102</v>
      </c>
      <c r="B16" s="3" t="s">
        <v>103</v>
      </c>
      <c r="C16" s="3" t="s">
        <v>9</v>
      </c>
      <c r="D16" s="3">
        <v>1000</v>
      </c>
      <c r="E16">
        <v>31333</v>
      </c>
      <c r="F16" s="34">
        <v>3411</v>
      </c>
      <c r="G16" s="34">
        <v>1495</v>
      </c>
      <c r="H16" s="34">
        <v>639003</v>
      </c>
      <c r="I16" s="17">
        <v>6500</v>
      </c>
      <c r="J16" s="17">
        <v>6500</v>
      </c>
      <c r="K16" s="17">
        <f t="shared" si="0"/>
        <v>6825</v>
      </c>
      <c r="L16" s="48">
        <f t="shared" si="1"/>
        <v>6825</v>
      </c>
      <c r="M16" s="18">
        <f t="shared" si="2"/>
        <v>26650</v>
      </c>
      <c r="N16" s="3" t="s">
        <v>105</v>
      </c>
      <c r="O16" s="3"/>
      <c r="P16" s="3" t="s">
        <v>134</v>
      </c>
      <c r="Q16" s="13"/>
      <c r="V16" s="17"/>
    </row>
    <row r="17" spans="1:22" s="2" customFormat="1">
      <c r="A17" s="3" t="s">
        <v>102</v>
      </c>
      <c r="B17" s="3" t="s">
        <v>104</v>
      </c>
      <c r="C17" s="3" t="s">
        <v>9</v>
      </c>
      <c r="D17" s="3">
        <v>3000</v>
      </c>
      <c r="E17">
        <v>31333</v>
      </c>
      <c r="F17" s="34">
        <v>3411</v>
      </c>
      <c r="G17" s="34">
        <v>3801</v>
      </c>
      <c r="H17" s="34">
        <v>639003</v>
      </c>
      <c r="I17" s="17">
        <f>6500*0.13458</f>
        <v>874.77</v>
      </c>
      <c r="J17" s="17">
        <f>6500*0.13458</f>
        <v>874.77</v>
      </c>
      <c r="K17" s="17">
        <f t="shared" si="0"/>
        <v>918.50850000000003</v>
      </c>
      <c r="L17" s="48">
        <f t="shared" si="1"/>
        <v>918.50850000000003</v>
      </c>
      <c r="M17" s="18">
        <f t="shared" si="2"/>
        <v>3586.5569999999998</v>
      </c>
      <c r="N17" s="3" t="s">
        <v>105</v>
      </c>
      <c r="O17" s="3"/>
      <c r="P17" s="3" t="s">
        <v>134</v>
      </c>
      <c r="Q17" s="8"/>
      <c r="V17" s="17"/>
    </row>
    <row r="18" spans="1:22" s="2" customFormat="1">
      <c r="A18" s="3"/>
      <c r="B18" s="3"/>
      <c r="C18" s="3"/>
      <c r="D18" s="3"/>
      <c r="E18"/>
      <c r="F18" s="34"/>
      <c r="G18" s="34"/>
      <c r="H18" s="34"/>
      <c r="I18" s="17"/>
      <c r="J18" s="17"/>
      <c r="K18" s="17"/>
      <c r="L18" s="48"/>
      <c r="M18" s="18">
        <f t="shared" si="2"/>
        <v>0</v>
      </c>
      <c r="N18" s="3"/>
      <c r="O18" s="3"/>
      <c r="P18" s="3"/>
      <c r="Q18" s="8"/>
      <c r="V18" s="17"/>
    </row>
    <row r="19" spans="1:22" s="2" customFormat="1">
      <c r="A19" s="2" t="s">
        <v>111</v>
      </c>
      <c r="D19" s="3"/>
      <c r="E19"/>
      <c r="F19" s="34"/>
      <c r="G19" s="34"/>
      <c r="H19" s="34"/>
      <c r="I19" s="17"/>
      <c r="J19" s="17"/>
      <c r="K19" s="17"/>
      <c r="L19" s="48"/>
      <c r="M19" s="18">
        <f>SUM(I19:J19)</f>
        <v>0</v>
      </c>
      <c r="N19" s="3"/>
      <c r="O19" s="3"/>
      <c r="P19" s="3"/>
      <c r="Q19" s="8"/>
      <c r="V19" s="17"/>
    </row>
    <row r="20" spans="1:22" s="6" customFormat="1">
      <c r="A20" s="7"/>
      <c r="B20" s="7"/>
      <c r="C20" s="7"/>
      <c r="D20" s="7"/>
      <c r="E20" s="7"/>
      <c r="F20" s="7"/>
      <c r="G20" s="29"/>
      <c r="H20" s="7"/>
      <c r="I20" s="19"/>
      <c r="J20" s="19"/>
      <c r="K20" s="19"/>
      <c r="L20" s="48"/>
      <c r="M20" s="18">
        <f>SUM(I20:J20)</f>
        <v>0</v>
      </c>
      <c r="N20" s="7"/>
      <c r="O20" s="7"/>
      <c r="P20" s="7"/>
      <c r="Q20" s="7"/>
    </row>
    <row r="21" spans="1:22" s="9" customFormat="1" ht="15.75" thickBot="1">
      <c r="A21" s="10"/>
      <c r="B21" s="10"/>
      <c r="C21" s="10"/>
      <c r="D21" s="10"/>
      <c r="E21" s="10"/>
      <c r="F21" s="10"/>
      <c r="G21" s="26"/>
      <c r="H21" s="10"/>
      <c r="I21" s="21">
        <f>SUM(I7:I20)</f>
        <v>154037.52947957642</v>
      </c>
      <c r="J21" s="21">
        <f t="shared" ref="J21:L21" si="3">SUM(J7:J20)</f>
        <v>164037.42947957644</v>
      </c>
      <c r="K21" s="21">
        <f t="shared" si="3"/>
        <v>171739.3009535553</v>
      </c>
      <c r="L21" s="49">
        <f t="shared" si="3"/>
        <v>171739.3009535553</v>
      </c>
      <c r="M21" s="22">
        <f>SUM(M7:M20)</f>
        <v>661553.56086626358</v>
      </c>
      <c r="O21" s="10"/>
      <c r="P21" s="10"/>
      <c r="Q21" s="14"/>
    </row>
    <row r="22" spans="1:22" ht="15.75" thickTop="1">
      <c r="K22" s="50"/>
    </row>
    <row r="23" spans="1:22">
      <c r="L23" s="53" t="s">
        <v>135</v>
      </c>
      <c r="M23" s="55">
        <v>405586.25</v>
      </c>
    </row>
    <row r="24" spans="1:22">
      <c r="L24" s="53" t="s">
        <v>136</v>
      </c>
      <c r="M24" s="55">
        <v>436957</v>
      </c>
    </row>
    <row r="25" spans="1:22" ht="15.75" thickBot="1">
      <c r="L25" s="53" t="s">
        <v>137</v>
      </c>
      <c r="M25" s="54">
        <f>SUM(M23:M24)</f>
        <v>842543.25</v>
      </c>
    </row>
    <row r="26" spans="1:22" ht="15.75" thickTop="1"/>
  </sheetData>
  <mergeCells count="4">
    <mergeCell ref="A1:P1"/>
    <mergeCell ref="A2:P2"/>
    <mergeCell ref="A3:P3"/>
    <mergeCell ref="K5:L5"/>
  </mergeCells>
  <pageMargins left="0.7" right="0.7" top="0.75" bottom="0.75" header="0.3" footer="0.3"/>
  <pageSetup scale="34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Y7 Local</vt:lpstr>
      <vt:lpstr>Y7 Regional</vt:lpstr>
      <vt:lpstr>'Y7 Local'!Print_Area</vt:lpstr>
    </vt:vector>
  </TitlesOfParts>
  <Company>San Mateo County CCD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Meagher, Carole</dc:creator>
  <cp:lastModifiedBy>Meagher, Carole</cp:lastModifiedBy>
  <cp:lastPrinted>2023-12-11T20:34:13Z</cp:lastPrinted>
  <dcterms:created xsi:type="dcterms:W3CDTF">2023-12-11T17:50:34Z</dcterms:created>
  <dcterms:modified xsi:type="dcterms:W3CDTF">2023-12-11T23:02:12Z</dcterms:modified>
</cp:coreProperties>
</file>